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rčma\(01) Výběr dopravců\2023 BEMU S4,S41,S6,R56,S61\"/>
    </mc:Choice>
  </mc:AlternateContent>
  <xr:revisionPtr revIDLastSave="0" documentId="13_ncr:1_{90E20020-E25D-4859-8E71-CBF1FDAD17C5}" xr6:coauthVersionLast="47" xr6:coauthVersionMax="47" xr10:uidLastSave="{00000000-0000-0000-0000-000000000000}"/>
  <bookViews>
    <workbookView xWindow="28680" yWindow="-120" windowWidth="29040" windowHeight="17790" xr2:uid="{00000000-000D-0000-FFFF-FFFF00000000}"/>
  </bookViews>
  <sheets>
    <sheet name="Výpočet H, K" sheetId="4" r:id="rId1"/>
    <sheet name="Bodové srovnání nabídek" sheetId="7" state="hidden" r:id="rId2"/>
  </sheets>
  <calcPr calcId="191029"/>
</workbook>
</file>

<file path=xl/calcChain.xml><?xml version="1.0" encoding="utf-8"?>
<calcChain xmlns="http://schemas.openxmlformats.org/spreadsheetml/2006/main">
  <c r="G49" i="4" l="1"/>
  <c r="G48" i="4"/>
  <c r="G47" i="4"/>
  <c r="G30" i="4"/>
  <c r="E50" i="4"/>
  <c r="D50" i="4"/>
  <c r="C50" i="4"/>
  <c r="G38" i="4"/>
  <c r="G23" i="4"/>
  <c r="G50" i="4" l="1"/>
  <c r="B11" i="7" s="1"/>
  <c r="C11" i="7" s="1"/>
  <c r="G16" i="4"/>
  <c r="G9" i="4" s="1"/>
  <c r="B8" i="7" s="1"/>
  <c r="C8" i="7" s="1"/>
  <c r="D16" i="4"/>
  <c r="E16" i="4"/>
  <c r="C16" i="4"/>
  <c r="C14" i="7" l="1"/>
</calcChain>
</file>

<file path=xl/sharedStrings.xml><?xml version="1.0" encoding="utf-8"?>
<sst xmlns="http://schemas.openxmlformats.org/spreadsheetml/2006/main" count="162" uniqueCount="81">
  <si>
    <t>Formulář pro zpracování nabídkové ceny</t>
  </si>
  <si>
    <t>Celkem</t>
  </si>
  <si>
    <t>Příloha č. 5 dokumentace zadávacího řízení</t>
  </si>
  <si>
    <t>BEMU 145</t>
  </si>
  <si>
    <t>BEMU 175</t>
  </si>
  <si>
    <t>BEMU 115</t>
  </si>
  <si>
    <t>Požadovaný počet vozidel typu (vč. zálohy) - pro vozidlový koncept BEMU 175</t>
  </si>
  <si>
    <t xml:space="preserve">BEMU 175 </t>
  </si>
  <si>
    <t>Veličina</t>
  </si>
  <si>
    <t>a</t>
  </si>
  <si>
    <t>b</t>
  </si>
  <si>
    <t>c</t>
  </si>
  <si>
    <t>X</t>
  </si>
  <si>
    <t>-</t>
  </si>
  <si>
    <t>H1</t>
  </si>
  <si>
    <t>Požadovaný počet vozidel typu (vč. zálohy) - pro vozidlový koncept BEMU 175 + BEMU 115</t>
  </si>
  <si>
    <t>Požadovaný počet vozidel typu (vč. zálohy) - pro vozidlový koncept BEMU 145</t>
  </si>
  <si>
    <t>Volba vozidlového konceptu</t>
  </si>
  <si>
    <t>Y</t>
  </si>
  <si>
    <t>Z</t>
  </si>
  <si>
    <t>Vozidlové koncepty</t>
  </si>
  <si>
    <t>Vozidlo typu</t>
  </si>
  <si>
    <t>P</t>
  </si>
  <si>
    <t>Q</t>
  </si>
  <si>
    <t>S</t>
  </si>
  <si>
    <t>H2</t>
  </si>
  <si>
    <t>Cena Full-service všech Jednotek za dobu 30 let včetně výměny trakčních baterií během 30 let … člen H2</t>
  </si>
  <si>
    <t>Pořizovací cena všech Jednotek ... člen H1</t>
  </si>
  <si>
    <t>γ</t>
  </si>
  <si>
    <t>β</t>
  </si>
  <si>
    <t>α</t>
  </si>
  <si>
    <t>E</t>
  </si>
  <si>
    <t>referenční cena trakční energie distribuované Správou železnic (Kč/kWh)</t>
  </si>
  <si>
    <t>H3</t>
  </si>
  <si>
    <t>BEMU 175 + BEMU 115</t>
  </si>
  <si>
    <t>M1</t>
  </si>
  <si>
    <t>M2</t>
  </si>
  <si>
    <t>M3</t>
  </si>
  <si>
    <t>H4</t>
  </si>
  <si>
    <t>Cena elektrické energie spotřebované všemi Jednotkami za předpokládanou dobu 30 let se zohledněním spotřeby el.energie na topení a klimatizaci ... člen H3</t>
  </si>
  <si>
    <t>koef.</t>
  </si>
  <si>
    <t>koeficient vyšší spotřeby pro topení a klimatizaci proti jízdní zkoušce</t>
  </si>
  <si>
    <t>Hodnota zohledňující cenu za použití dráhy pro 30 let provozu Jednotek s cestujícími … člen H4</t>
  </si>
  <si>
    <t>referenční jednotková cena použití dráhy na jednotku hmotnosti pro ujetý kilometr (Kč / tkm)</t>
  </si>
  <si>
    <t>referenční hmotnost 1 cestujícího (t)</t>
  </si>
  <si>
    <t>předpokládaný souhrnný roční proběh jednotek BEMU - pro vozidlový koncept BEMU 175 (jednotkokm/rok)</t>
  </si>
  <si>
    <t>předpokládaný souhrnný roční proběh jednotek BEMU - pro vozidlový koncept BEMU 175 + BEMU 115 (jednotkokm/rok)</t>
  </si>
  <si>
    <t>předpokládaný souhrnný roční proběh jednotek BEMU - pro vozidlový koncept BEMU 145 (jednotkokm/rok)</t>
  </si>
  <si>
    <t>H</t>
  </si>
  <si>
    <t>Celková ekonomická výhodnost … hodnota H (váha 95 %)</t>
  </si>
  <si>
    <t>K</t>
  </si>
  <si>
    <t>Celková počtu vyšších roztečí sedadel v Jednotkách … hodnota K (váha 5 %)</t>
  </si>
  <si>
    <t>Orientační posouzení nabídky - bodové ohodnocení nabídky</t>
  </si>
  <si>
    <t>Celková ekonomická výhodnost … hodnota H (Kč)</t>
  </si>
  <si>
    <t>Hmin</t>
  </si>
  <si>
    <t>Kmax</t>
  </si>
  <si>
    <t>Nabídka s nejvyšším počtem vyšších roztečí sedadel v Jednotkách … nejvyšší hodnota K</t>
  </si>
  <si>
    <t>Ekonomicky nejvýhodnější nabídka … nejnižší hodnota H</t>
  </si>
  <si>
    <t>počet obdržených bodů (0 - 95 bodů)</t>
  </si>
  <si>
    <t>Celkový odhad počtu bodů uchazeče</t>
  </si>
  <si>
    <t>počet obdržených bodů (0 - 100 bodů)</t>
  </si>
  <si>
    <t>počet obdržených bodů (0 - 5 bodů)</t>
  </si>
  <si>
    <t>Pro bodový výpočet je nutno odhadnout hodnotu Hmin ekonomicky nejvýhodnější nabídky a hodnotku Kmax nabídky s nejvyšším počtem vyšších roztečí sedadel</t>
  </si>
  <si>
    <t>Celkový podíl vyšších roztečí sedadel v Jednotkách … hodnota K (váha 5 %)</t>
  </si>
  <si>
    <r>
      <t>Zvolený vozidlových koncept</t>
    </r>
    <r>
      <rPr>
        <i/>
        <sz val="10"/>
        <color rgb="FFFFFFFF"/>
        <rFont val="Calibri"/>
        <family val="2"/>
        <charset val="238"/>
      </rPr>
      <t xml:space="preserve"> (Dodavatel uvede písmeno X do právě jednoho ze 3 polí, ostatní 2 ponechá prázdné)</t>
    </r>
  </si>
  <si>
    <t>Dodavatel vyplňuje pouze zelené buňky s hodnotami vozidel zvoleného vozidlového konceptu.</t>
  </si>
  <si>
    <t>Příloha č. 6 dokumentace zadávacího řízení</t>
  </si>
  <si>
    <t>m</t>
  </si>
  <si>
    <t>n</t>
  </si>
  <si>
    <t>o</t>
  </si>
  <si>
    <t>J1</t>
  </si>
  <si>
    <t>J2</t>
  </si>
  <si>
    <t>J3</t>
  </si>
  <si>
    <t>J</t>
  </si>
  <si>
    <r>
      <t xml:space="preserve">deklarovaná spotřeba elektrické energie příslušné jednotky vztažená na jednotkokm pro zkoušku na ŽZO při venkovní teplotě 15 °C dle přílohy č. 6a Návrhu kupní smlouvy na pořízení nových železničních hybridních akutrolejových jednotek
</t>
    </r>
    <r>
      <rPr>
        <i/>
        <sz val="10"/>
        <color rgb="FFFFFFFF"/>
        <rFont val="Calibri"/>
        <family val="2"/>
        <charset val="238"/>
      </rPr>
      <t>v kWh / jednotkokm (zaokrouhlená na 2 desetinná místa)</t>
    </r>
    <r>
      <rPr>
        <b/>
        <sz val="10"/>
        <color rgb="FFFFFFFF"/>
        <rFont val="Calibri"/>
        <family val="2"/>
        <charset val="238"/>
      </rPr>
      <t xml:space="preserve">
</t>
    </r>
    <r>
      <rPr>
        <i/>
        <sz val="10"/>
        <color rgb="FFFFFFFF"/>
        <rFont val="Calibri"/>
        <family val="2"/>
        <charset val="238"/>
      </rPr>
      <t>(dodavatel vyplní příslušné 1 až 2 pole)</t>
    </r>
  </si>
  <si>
    <r>
      <t xml:space="preserve">jednotkové náklady na full-service včetně výměn trakční baterie za dobu 30 let provozu vztažené na jednotkokm 
</t>
    </r>
    <r>
      <rPr>
        <i/>
        <sz val="10"/>
        <color rgb="FFFFFFFF"/>
        <rFont val="Calibri"/>
        <family val="2"/>
        <charset val="238"/>
      </rPr>
      <t>v Kč bez DPH / jednotkokm (zaokrouhlená na 2 desetinná místa)
(dodavatel vyplní příslušné 1 až 2 pole)</t>
    </r>
  </si>
  <si>
    <r>
      <t xml:space="preserve">vlastní hmotnost jednotky (MU) dle ČSN EN 15663 (bez cestujících)
</t>
    </r>
    <r>
      <rPr>
        <i/>
        <sz val="10"/>
        <color rgb="FFFFFFFF"/>
        <rFont val="Calibri"/>
        <family val="2"/>
        <charset val="238"/>
      </rPr>
      <t>v tunách (zaokrouhlená na 2 desetinná místa)</t>
    </r>
    <r>
      <rPr>
        <b/>
        <sz val="10"/>
        <color rgb="FFFFFFFF"/>
        <rFont val="Calibri"/>
        <family val="2"/>
        <charset val="238"/>
      </rPr>
      <t xml:space="preserve">
</t>
    </r>
    <r>
      <rPr>
        <i/>
        <sz val="10"/>
        <color rgb="FFFFFFFF"/>
        <rFont val="Calibri"/>
        <family val="2"/>
        <charset val="238"/>
      </rPr>
      <t>(dodavatel vyplní příslušné 1 až 2 pole)</t>
    </r>
  </si>
  <si>
    <r>
      <rPr>
        <sz val="10"/>
        <color rgb="FFFFFFFF"/>
        <rFont val="Calibri"/>
        <family val="2"/>
        <charset val="238"/>
      </rPr>
      <t xml:space="preserve">Celkový počet pevných sedadel </t>
    </r>
    <r>
      <rPr>
        <b/>
        <sz val="10"/>
        <color rgb="FFFFFFFF"/>
        <rFont val="Calibri"/>
        <family val="2"/>
        <charset val="238"/>
      </rPr>
      <t>- pro 1 jednotku BEMU 175/115/145</t>
    </r>
    <r>
      <rPr>
        <i/>
        <sz val="10"/>
        <color rgb="FFFFFFFF"/>
        <rFont val="Calibri"/>
        <family val="2"/>
        <charset val="238"/>
      </rPr>
      <t xml:space="preserve">
(dodavatel vyplní příslušné 1 až 2 pole)</t>
    </r>
  </si>
  <si>
    <r>
      <t xml:space="preserve">Pořizovací cena za 1 Jednotku BEMU příslušného typu
 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  <r>
      <rPr>
        <b/>
        <sz val="10"/>
        <color rgb="FFFFFFFF"/>
        <rFont val="Calibri"/>
        <family val="2"/>
        <charset val="238"/>
      </rPr>
      <t xml:space="preserve">
</t>
    </r>
    <r>
      <rPr>
        <i/>
        <sz val="10"/>
        <color rgb="FFFFFFFF"/>
        <rFont val="Calibri"/>
        <family val="2"/>
        <charset val="238"/>
      </rPr>
      <t>(dodavatel vyplní příslušné 1 až 2 pole)</t>
    </r>
  </si>
  <si>
    <r>
      <rPr>
        <b/>
        <sz val="10"/>
        <color rgb="FFFFFFFF"/>
        <rFont val="Calibri"/>
        <family val="2"/>
        <charset val="238"/>
      </rPr>
      <t>Podíl pevných sedadel ze všech dodávaných Jednotek dle zvoleného vozidlového konceptu s roztečí alespoň 850 mm v uspořádání za sebou a alespoň 1750 mm v uspořádání proti sobě (procentuální podíl sedadel s vyšší roztečí ze všech pevných sedadel ve všech dodávaných Jednotkách)</t>
    </r>
    <r>
      <rPr>
        <i/>
        <sz val="10"/>
        <color rgb="FFFFFFFF"/>
        <rFont val="Calibri"/>
        <family val="2"/>
        <charset val="238"/>
      </rPr>
      <t xml:space="preserve">
počítá se za každé pevné sedadlo v každé Jednotce, u kterého je dodržena výše uvedená hodnota rozteče vzhledem k sedadlu před / naproti (započítají se i sedadla s dodrženou hodnotou rozteče k jiné pevné překážce před sedadlem) 
</t>
    </r>
  </si>
  <si>
    <r>
      <rPr>
        <sz val="10"/>
        <color rgb="FFFFFFFF"/>
        <rFont val="Calibri"/>
        <family val="2"/>
        <charset val="238"/>
      </rPr>
      <t>Počet pevných sedadel dle zvoleného vozidlového konceptu s roztečí alespoň 850 mm v uspořádání za sebou a alespoň 1750 mm v uspořádání proti sobě</t>
    </r>
    <r>
      <rPr>
        <b/>
        <sz val="10"/>
        <color rgb="FFFFFFFF"/>
        <rFont val="Calibri"/>
        <family val="2"/>
        <charset val="238"/>
      </rPr>
      <t xml:space="preserve"> - pro 1 jednotku BEMU 175/115/145
</t>
    </r>
    <r>
      <rPr>
        <i/>
        <sz val="10"/>
        <color rgb="FFFFFFFF"/>
        <rFont val="Calibri"/>
        <family val="2"/>
        <charset val="238"/>
      </rPr>
      <t>počítá se za každé pevné sedadlo v každé Jednotce, u kterého je dodržena výše uvedená hodnota rozteče vzhledem k sedadlu před / naproti (započítají se i sedadla s dodrženou hodnotou rozteče k jiné pevné překážce před sedadlem) 
(dodavatel vyplní příslušné 1 až 2 pole)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</si>
</sst>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00%"/>
    <numFmt numFmtId="166" formatCode="0.00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9" fillId="0" borderId="0"/>
    <xf numFmtId="9" fontId="30" fillId="0" borderId="0" applyFont="0" applyFill="0" applyBorder="0" applyAlignment="0" applyProtection="0"/>
  </cellStyleXfs>
  <cellXfs count="74">
    <xf numFmtId="0" fontId="0" fillId="0" borderId="0" xfId="0"/>
    <xf numFmtId="0" fontId="23" fillId="27" borderId="10" xfId="0" applyFont="1" applyFill="1" applyBorder="1" applyAlignment="1">
      <alignment horizontal="center" vertical="center" wrapText="1"/>
    </xf>
    <xf numFmtId="0" fontId="26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center" vertical="center" wrapText="1"/>
    </xf>
    <xf numFmtId="164" fontId="27" fillId="30" borderId="10" xfId="0" applyNumberFormat="1" applyFont="1" applyFill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 wrapText="1"/>
    </xf>
    <xf numFmtId="2" fontId="27" fillId="30" borderId="10" xfId="0" applyNumberFormat="1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6" fillId="31" borderId="10" xfId="0" applyFont="1" applyFill="1" applyBorder="1" applyAlignment="1">
      <alignment horizontal="center" vertical="center" wrapText="1"/>
    </xf>
    <xf numFmtId="0" fontId="28" fillId="31" borderId="10" xfId="0" applyFont="1" applyFill="1" applyBorder="1" applyAlignment="1">
      <alignment horizontal="center" vertical="center" wrapText="1"/>
    </xf>
    <xf numFmtId="1" fontId="26" fillId="0" borderId="10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0" fillId="25" borderId="0" xfId="0" applyFill="1"/>
    <xf numFmtId="0" fontId="0" fillId="26" borderId="10" xfId="0" applyFill="1" applyBorder="1"/>
    <xf numFmtId="2" fontId="20" fillId="0" borderId="10" xfId="0" applyNumberFormat="1" applyFont="1" applyBorder="1" applyAlignment="1">
      <alignment horizontal="center"/>
    </xf>
    <xf numFmtId="0" fontId="31" fillId="24" borderId="10" xfId="0" applyFont="1" applyFill="1" applyBorder="1"/>
    <xf numFmtId="0" fontId="0" fillId="32" borderId="10" xfId="0" applyFill="1" applyBorder="1"/>
    <xf numFmtId="1" fontId="35" fillId="25" borderId="10" xfId="0" applyNumberFormat="1" applyFont="1" applyFill="1" applyBorder="1" applyAlignment="1">
      <alignment horizontal="center" vertical="center" wrapText="1"/>
    </xf>
    <xf numFmtId="164" fontId="35" fillId="25" borderId="10" xfId="0" applyNumberFormat="1" applyFont="1" applyFill="1" applyBorder="1" applyAlignment="1">
      <alignment horizontal="center" vertical="center" wrapText="1"/>
    </xf>
    <xf numFmtId="10" fontId="26" fillId="0" borderId="10" xfId="48" applyNumberFormat="1" applyFont="1" applyBorder="1" applyAlignment="1">
      <alignment horizontal="center" vertical="center" wrapText="1"/>
    </xf>
    <xf numFmtId="165" fontId="26" fillId="0" borderId="10" xfId="48" applyNumberFormat="1" applyFont="1" applyBorder="1" applyAlignment="1">
      <alignment horizontal="center" vertical="center" wrapText="1"/>
    </xf>
    <xf numFmtId="166" fontId="34" fillId="0" borderId="10" xfId="0" applyNumberFormat="1" applyFont="1" applyBorder="1" applyAlignment="1">
      <alignment horizontal="center" vertical="center" wrapText="1"/>
    </xf>
    <xf numFmtId="0" fontId="21" fillId="24" borderId="0" xfId="0" applyFont="1" applyFill="1" applyAlignment="1">
      <alignment horizontal="center"/>
    </xf>
    <xf numFmtId="0" fontId="32" fillId="29" borderId="17" xfId="0" applyFont="1" applyFill="1" applyBorder="1" applyAlignment="1">
      <alignment horizontal="center" vertical="center"/>
    </xf>
    <xf numFmtId="0" fontId="32" fillId="29" borderId="18" xfId="0" applyFont="1" applyFill="1" applyBorder="1" applyAlignment="1">
      <alignment horizontal="center" vertical="center"/>
    </xf>
    <xf numFmtId="0" fontId="32" fillId="29" borderId="12" xfId="0" applyFont="1" applyFill="1" applyBorder="1" applyAlignment="1">
      <alignment horizontal="center" vertical="center"/>
    </xf>
    <xf numFmtId="0" fontId="32" fillId="29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27" borderId="14" xfId="0" applyFont="1" applyFill="1" applyBorder="1" applyAlignment="1">
      <alignment vertical="center" wrapText="1"/>
    </xf>
    <xf numFmtId="0" fontId="23" fillId="27" borderId="20" xfId="0" applyFont="1" applyFill="1" applyBorder="1" applyAlignment="1">
      <alignment vertical="center" wrapText="1"/>
    </xf>
    <xf numFmtId="0" fontId="0" fillId="0" borderId="10" xfId="0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3" fillId="27" borderId="12" xfId="0" applyFont="1" applyFill="1" applyBorder="1" applyAlignment="1">
      <alignment vertical="center" wrapText="1"/>
    </xf>
    <xf numFmtId="0" fontId="23" fillId="27" borderId="13" xfId="0" applyFont="1" applyFill="1" applyBorder="1" applyAlignment="1">
      <alignment vertical="center" wrapText="1"/>
    </xf>
    <xf numFmtId="164" fontId="27" fillId="30" borderId="12" xfId="0" applyNumberFormat="1" applyFont="1" applyFill="1" applyBorder="1" applyAlignment="1">
      <alignment horizontal="center" vertical="center" wrapText="1"/>
    </xf>
    <xf numFmtId="164" fontId="27" fillId="30" borderId="13" xfId="0" applyNumberFormat="1" applyFont="1" applyFill="1" applyBorder="1" applyAlignment="1">
      <alignment horizontal="center" vertical="center" wrapText="1"/>
    </xf>
    <xf numFmtId="0" fontId="23" fillId="27" borderId="15" xfId="0" applyFont="1" applyFill="1" applyBorder="1" applyAlignment="1">
      <alignment horizontal="center" vertical="center" wrapText="1"/>
    </xf>
    <xf numFmtId="0" fontId="23" fillId="27" borderId="16" xfId="0" applyFont="1" applyFill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3" fontId="33" fillId="0" borderId="19" xfId="0" applyNumberFormat="1" applyFont="1" applyBorder="1" applyAlignment="1">
      <alignment horizontal="center" vertical="center" wrapText="1"/>
    </xf>
    <xf numFmtId="3" fontId="33" fillId="0" borderId="13" xfId="0" applyNumberFormat="1" applyFont="1" applyBorder="1" applyAlignment="1">
      <alignment horizontal="center" vertical="center" wrapText="1"/>
    </xf>
    <xf numFmtId="0" fontId="22" fillId="26" borderId="0" xfId="0" applyFont="1" applyFill="1" applyAlignment="1">
      <alignment horizontal="center" wrapText="1"/>
    </xf>
    <xf numFmtId="0" fontId="32" fillId="29" borderId="10" xfId="0" applyFont="1" applyFill="1" applyBorder="1" applyAlignment="1">
      <alignment horizontal="center" vertical="center"/>
    </xf>
    <xf numFmtId="0" fontId="32" fillId="29" borderId="17" xfId="0" applyFont="1" applyFill="1" applyBorder="1" applyAlignment="1">
      <alignment horizontal="center" vertical="center" wrapText="1"/>
    </xf>
    <xf numFmtId="0" fontId="32" fillId="29" borderId="18" xfId="0" applyFont="1" applyFill="1" applyBorder="1" applyAlignment="1">
      <alignment horizontal="center" vertical="center" wrapText="1"/>
    </xf>
    <xf numFmtId="0" fontId="25" fillId="27" borderId="12" xfId="0" applyFont="1" applyFill="1" applyBorder="1" applyAlignment="1">
      <alignment horizontal="center" vertical="center" wrapText="1"/>
    </xf>
    <xf numFmtId="0" fontId="25" fillId="27" borderId="19" xfId="0" applyFont="1" applyFill="1" applyBorder="1" applyAlignment="1">
      <alignment horizontal="center" vertical="center" wrapText="1"/>
    </xf>
    <xf numFmtId="0" fontId="25" fillId="27" borderId="13" xfId="0" applyFont="1" applyFill="1" applyBorder="1" applyAlignment="1">
      <alignment horizontal="center" vertical="center" wrapText="1"/>
    </xf>
    <xf numFmtId="0" fontId="0" fillId="30" borderId="10" xfId="0" applyFill="1" applyBorder="1" applyAlignment="1">
      <alignment horizontal="center" vertical="center"/>
    </xf>
    <xf numFmtId="0" fontId="32" fillId="31" borderId="17" xfId="0" applyFont="1" applyFill="1" applyBorder="1" applyAlignment="1">
      <alignment horizontal="center" vertical="center"/>
    </xf>
    <xf numFmtId="0" fontId="32" fillId="31" borderId="18" xfId="0" applyFont="1" applyFill="1" applyBorder="1" applyAlignment="1">
      <alignment horizontal="center" vertical="center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8" fillId="31" borderId="12" xfId="0" applyFont="1" applyFill="1" applyBorder="1" applyAlignment="1">
      <alignment horizontal="center" vertical="center" wrapText="1"/>
    </xf>
    <xf numFmtId="0" fontId="28" fillId="31" borderId="13" xfId="0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20" xfId="0" applyFont="1" applyFill="1" applyBorder="1" applyAlignment="1">
      <alignment horizontal="center" vertical="center" wrapText="1"/>
    </xf>
    <xf numFmtId="0" fontId="26" fillId="31" borderId="0" xfId="0" applyFont="1" applyFill="1" applyAlignment="1">
      <alignment horizontal="center" vertical="center" wrapText="1"/>
    </xf>
    <xf numFmtId="0" fontId="26" fillId="31" borderId="16" xfId="0" applyFont="1" applyFill="1" applyBorder="1" applyAlignment="1">
      <alignment horizontal="center" vertical="center" wrapText="1"/>
    </xf>
    <xf numFmtId="0" fontId="23" fillId="27" borderId="12" xfId="0" applyFont="1" applyFill="1" applyBorder="1" applyAlignment="1">
      <alignment horizontal="center" vertical="center" wrapText="1"/>
    </xf>
    <xf numFmtId="0" fontId="23" fillId="27" borderId="13" xfId="0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left" vertical="top"/>
    </xf>
    <xf numFmtId="0" fontId="21" fillId="24" borderId="16" xfId="0" applyFont="1" applyFill="1" applyBorder="1" applyAlignment="1">
      <alignment horizontal="left" vertical="top"/>
    </xf>
    <xf numFmtId="0" fontId="21" fillId="24" borderId="18" xfId="0" applyFont="1" applyFill="1" applyBorder="1" applyAlignment="1">
      <alignment horizontal="left" vertical="top"/>
    </xf>
    <xf numFmtId="0" fontId="21" fillId="24" borderId="21" xfId="0" applyFont="1" applyFill="1" applyBorder="1" applyAlignment="1">
      <alignment horizontal="left" vertical="top"/>
    </xf>
    <xf numFmtId="0" fontId="32" fillId="29" borderId="14" xfId="0" applyFont="1" applyFill="1" applyBorder="1" applyAlignment="1">
      <alignment horizontal="center" vertical="center"/>
    </xf>
    <xf numFmtId="0" fontId="32" fillId="29" borderId="11" xfId="0" applyFont="1" applyFill="1" applyBorder="1" applyAlignment="1">
      <alignment horizontal="center" vertical="center"/>
    </xf>
    <xf numFmtId="0" fontId="32" fillId="31" borderId="10" xfId="0" applyFont="1" applyFill="1" applyBorder="1" applyAlignment="1">
      <alignment horizontal="center" vertical="center" wrapText="1"/>
    </xf>
    <xf numFmtId="0" fontId="32" fillId="29" borderId="10" xfId="0" applyFont="1" applyFill="1" applyBorder="1" applyAlignment="1">
      <alignment horizontal="center" vertical="center" wrapText="1"/>
    </xf>
    <xf numFmtId="0" fontId="32" fillId="31" borderId="17" xfId="0" applyFont="1" applyFill="1" applyBorder="1" applyAlignment="1">
      <alignment horizontal="center" vertical="center" wrapText="1"/>
    </xf>
    <xf numFmtId="0" fontId="32" fillId="31" borderId="18" xfId="0" applyFont="1" applyFill="1" applyBorder="1" applyAlignment="1">
      <alignment horizontal="center" vertical="center" wrapText="1"/>
    </xf>
  </cellXfs>
  <cellStyles count="49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centa" xfId="48" builtinId="5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2" defaultPivotStyle="PivotStyleLight16"/>
  <colors>
    <mruColors>
      <color rgb="FF001E44"/>
      <color rgb="FFD9E2F3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50"/>
  <sheetViews>
    <sheetView tabSelected="1" topLeftCell="A22" zoomScale="115" zoomScaleNormal="115" workbookViewId="0">
      <selection activeCell="G50" sqref="G50"/>
    </sheetView>
  </sheetViews>
  <sheetFormatPr defaultRowHeight="15" x14ac:dyDescent="0.25"/>
  <cols>
    <col min="1" max="1" width="7" bestFit="1" customWidth="1"/>
    <col min="2" max="2" width="12.85546875" customWidth="1"/>
    <col min="3" max="5" width="18.5703125" customWidth="1"/>
    <col min="6" max="6" width="7" bestFit="1" customWidth="1"/>
    <col min="7" max="7" width="44.28515625" customWidth="1"/>
  </cols>
  <sheetData>
    <row r="1" spans="1:7" x14ac:dyDescent="0.25">
      <c r="A1" s="25" t="s">
        <v>66</v>
      </c>
      <c r="B1" s="25"/>
      <c r="C1" s="25"/>
      <c r="D1" s="25"/>
      <c r="E1" s="25"/>
      <c r="F1" s="25"/>
      <c r="G1" s="25"/>
    </row>
    <row r="2" spans="1:7" x14ac:dyDescent="0.25">
      <c r="B2" s="34"/>
      <c r="C2" s="34"/>
      <c r="D2" s="34"/>
      <c r="E2" s="34"/>
      <c r="F2" s="34"/>
      <c r="G2" s="34"/>
    </row>
    <row r="3" spans="1:7" x14ac:dyDescent="0.25">
      <c r="A3" s="25" t="s">
        <v>0</v>
      </c>
      <c r="B3" s="25"/>
      <c r="C3" s="25"/>
      <c r="D3" s="25"/>
      <c r="E3" s="25"/>
      <c r="F3" s="25"/>
      <c r="G3" s="25"/>
    </row>
    <row r="4" spans="1:7" x14ac:dyDescent="0.25">
      <c r="B4" s="33"/>
      <c r="C4" s="33"/>
      <c r="D4" s="33"/>
      <c r="E4" s="33"/>
      <c r="F4" s="33"/>
      <c r="G4" s="33"/>
    </row>
    <row r="5" spans="1:7" x14ac:dyDescent="0.25">
      <c r="A5" s="28" t="s">
        <v>17</v>
      </c>
      <c r="B5" s="29"/>
      <c r="C5" s="29"/>
      <c r="D5" s="29"/>
    </row>
    <row r="6" spans="1:7" ht="51.75" customHeight="1" x14ac:dyDescent="0.25">
      <c r="A6" s="31" t="s">
        <v>20</v>
      </c>
      <c r="B6" s="32"/>
      <c r="C6" s="35" t="s">
        <v>64</v>
      </c>
      <c r="D6" s="36"/>
      <c r="F6" s="44" t="s">
        <v>65</v>
      </c>
      <c r="G6" s="44"/>
    </row>
    <row r="7" spans="1:7" ht="14.25" customHeight="1" x14ac:dyDescent="0.25">
      <c r="A7" s="39" t="s">
        <v>4</v>
      </c>
      <c r="B7" s="40"/>
      <c r="C7" s="37"/>
      <c r="D7" s="38"/>
    </row>
    <row r="8" spans="1:7" ht="14.25" customHeight="1" x14ac:dyDescent="0.25">
      <c r="A8" s="39" t="s">
        <v>34</v>
      </c>
      <c r="B8" s="40"/>
      <c r="C8" s="37"/>
      <c r="D8" s="38"/>
      <c r="F8" s="45" t="s">
        <v>49</v>
      </c>
      <c r="G8" s="45"/>
    </row>
    <row r="9" spans="1:7" ht="14.25" customHeight="1" x14ac:dyDescent="0.25">
      <c r="A9" s="39" t="s">
        <v>3</v>
      </c>
      <c r="B9" s="40"/>
      <c r="C9" s="37"/>
      <c r="D9" s="38"/>
      <c r="F9" s="3" t="s">
        <v>48</v>
      </c>
      <c r="G9" s="5" t="e">
        <f>G16+G23+G30+G38</f>
        <v>#VALUE!</v>
      </c>
    </row>
    <row r="11" spans="1:7" x14ac:dyDescent="0.25">
      <c r="A11" s="26" t="s">
        <v>27</v>
      </c>
      <c r="B11" s="27"/>
      <c r="C11" s="27"/>
      <c r="D11" s="27"/>
      <c r="E11" s="27"/>
      <c r="F11" s="27"/>
      <c r="G11" s="27"/>
    </row>
    <row r="12" spans="1:7" ht="75.75" customHeight="1" x14ac:dyDescent="0.25">
      <c r="A12" s="1" t="s">
        <v>8</v>
      </c>
      <c r="B12" s="1" t="s">
        <v>21</v>
      </c>
      <c r="C12" s="1" t="s">
        <v>6</v>
      </c>
      <c r="D12" s="1" t="s">
        <v>15</v>
      </c>
      <c r="E12" s="1" t="s">
        <v>16</v>
      </c>
      <c r="F12" s="1" t="s">
        <v>8</v>
      </c>
      <c r="G12" s="1" t="s">
        <v>78</v>
      </c>
    </row>
    <row r="13" spans="1:7" x14ac:dyDescent="0.25">
      <c r="A13" s="2" t="s">
        <v>9</v>
      </c>
      <c r="B13" s="2" t="s">
        <v>7</v>
      </c>
      <c r="C13" s="6">
        <v>42</v>
      </c>
      <c r="D13" s="6">
        <v>28</v>
      </c>
      <c r="E13" s="6" t="s">
        <v>13</v>
      </c>
      <c r="F13" s="2" t="s">
        <v>12</v>
      </c>
      <c r="G13" s="4"/>
    </row>
    <row r="14" spans="1:7" x14ac:dyDescent="0.25">
      <c r="A14" s="2" t="s">
        <v>10</v>
      </c>
      <c r="B14" s="2" t="s">
        <v>5</v>
      </c>
      <c r="C14" s="6" t="s">
        <v>13</v>
      </c>
      <c r="D14" s="6">
        <v>14</v>
      </c>
      <c r="E14" s="6" t="s">
        <v>13</v>
      </c>
      <c r="F14" s="2" t="s">
        <v>18</v>
      </c>
      <c r="G14" s="4"/>
    </row>
    <row r="15" spans="1:7" x14ac:dyDescent="0.25">
      <c r="A15" s="2" t="s">
        <v>11</v>
      </c>
      <c r="B15" s="2" t="s">
        <v>3</v>
      </c>
      <c r="C15" s="6" t="s">
        <v>13</v>
      </c>
      <c r="D15" s="6" t="s">
        <v>13</v>
      </c>
      <c r="E15" s="6">
        <v>48</v>
      </c>
      <c r="F15" s="2" t="s">
        <v>19</v>
      </c>
      <c r="G15" s="4"/>
    </row>
    <row r="16" spans="1:7" x14ac:dyDescent="0.25">
      <c r="A16" s="3"/>
      <c r="B16" s="3" t="s">
        <v>1</v>
      </c>
      <c r="C16" s="6">
        <f>SUM(C13:C15)</f>
        <v>42</v>
      </c>
      <c r="D16" s="6">
        <f t="shared" ref="D16:E16" si="0">SUM(D13:D15)</f>
        <v>42</v>
      </c>
      <c r="E16" s="6">
        <f t="shared" si="0"/>
        <v>48</v>
      </c>
      <c r="F16" s="3" t="s">
        <v>14</v>
      </c>
      <c r="G16" s="5" t="str">
        <f>IF(COUNTA($C$7:$D$9)&gt;1,"Není zvolený vozidlový koncept!",IF($C$7="X",C13*G13,IF($C$8="X",D13*G13+D14*G14,IF($C$9="X",E15*G15,"Není správně zvolený vozidlový koncept!"))))</f>
        <v>Není správně zvolený vozidlový koncept!</v>
      </c>
    </row>
    <row r="17" spans="1:7" ht="16.5" customHeight="1" x14ac:dyDescent="0.25">
      <c r="B17" s="30"/>
      <c r="C17" s="30"/>
      <c r="D17" s="30"/>
      <c r="E17" s="30"/>
      <c r="F17" s="30"/>
      <c r="G17" s="30"/>
    </row>
    <row r="18" spans="1:7" ht="16.5" customHeight="1" x14ac:dyDescent="0.25">
      <c r="A18" s="26" t="s">
        <v>26</v>
      </c>
      <c r="B18" s="27"/>
      <c r="C18" s="27"/>
      <c r="D18" s="27"/>
      <c r="E18" s="27"/>
      <c r="F18" s="27"/>
      <c r="G18" s="27"/>
    </row>
    <row r="19" spans="1:7" ht="75.75" customHeight="1" x14ac:dyDescent="0.25">
      <c r="A19" s="1" t="s">
        <v>8</v>
      </c>
      <c r="B19" s="1" t="s">
        <v>21</v>
      </c>
      <c r="C19" s="1" t="s">
        <v>45</v>
      </c>
      <c r="D19" s="1" t="s">
        <v>46</v>
      </c>
      <c r="E19" s="1" t="s">
        <v>47</v>
      </c>
      <c r="F19" s="1" t="s">
        <v>8</v>
      </c>
      <c r="G19" s="1" t="s">
        <v>75</v>
      </c>
    </row>
    <row r="20" spans="1:7" x14ac:dyDescent="0.25">
      <c r="A20" s="2" t="s">
        <v>67</v>
      </c>
      <c r="B20" s="2" t="s">
        <v>7</v>
      </c>
      <c r="C20" s="6">
        <v>4850000</v>
      </c>
      <c r="D20" s="6">
        <v>3671000</v>
      </c>
      <c r="E20" s="6" t="s">
        <v>13</v>
      </c>
      <c r="F20" s="2" t="s">
        <v>22</v>
      </c>
      <c r="G20" s="4"/>
    </row>
    <row r="21" spans="1:7" x14ac:dyDescent="0.25">
      <c r="A21" s="2" t="s">
        <v>68</v>
      </c>
      <c r="B21" s="2" t="s">
        <v>5</v>
      </c>
      <c r="C21" s="6" t="s">
        <v>13</v>
      </c>
      <c r="D21" s="6">
        <v>1179000</v>
      </c>
      <c r="E21" s="6" t="s">
        <v>13</v>
      </c>
      <c r="F21" s="2" t="s">
        <v>23</v>
      </c>
      <c r="G21" s="4"/>
    </row>
    <row r="22" spans="1:7" x14ac:dyDescent="0.25">
      <c r="A22" s="2" t="s">
        <v>69</v>
      </c>
      <c r="B22" s="2" t="s">
        <v>3</v>
      </c>
      <c r="C22" s="6" t="s">
        <v>13</v>
      </c>
      <c r="D22" s="6" t="s">
        <v>13</v>
      </c>
      <c r="E22" s="6">
        <v>5211000</v>
      </c>
      <c r="F22" s="2" t="s">
        <v>24</v>
      </c>
      <c r="G22" s="4"/>
    </row>
    <row r="23" spans="1:7" x14ac:dyDescent="0.25">
      <c r="A23" s="7" t="s">
        <v>13</v>
      </c>
      <c r="B23" s="7" t="s">
        <v>13</v>
      </c>
      <c r="C23" s="6" t="s">
        <v>13</v>
      </c>
      <c r="D23" s="6" t="s">
        <v>13</v>
      </c>
      <c r="E23" s="6" t="s">
        <v>13</v>
      </c>
      <c r="F23" s="3" t="s">
        <v>25</v>
      </c>
      <c r="G23" s="5" t="str">
        <f>IF(COUNTA($C$7:$D$9)&gt;1,"Není zvolený vozidlový koncept!",IF($C$7="X",30*C20*G20,IF($C$8="X",30*D20*G20+30*D21*G21,IF($C$9="X",30*E22*G22,"Není správně zvolený vozidlový koncept!"))))</f>
        <v>Není správně zvolený vozidlový koncept!</v>
      </c>
    </row>
    <row r="24" spans="1:7" ht="16.5" customHeight="1" x14ac:dyDescent="0.25">
      <c r="B24" s="30"/>
      <c r="C24" s="30"/>
      <c r="D24" s="30"/>
      <c r="E24" s="30"/>
      <c r="F24" s="30"/>
      <c r="G24" s="30"/>
    </row>
    <row r="25" spans="1:7" ht="33.75" customHeight="1" x14ac:dyDescent="0.25">
      <c r="A25" s="46" t="s">
        <v>39</v>
      </c>
      <c r="B25" s="47"/>
      <c r="C25" s="47"/>
      <c r="D25" s="47"/>
      <c r="E25" s="47"/>
      <c r="F25" s="47"/>
      <c r="G25" s="47"/>
    </row>
    <row r="26" spans="1:7" ht="102" x14ac:dyDescent="0.25">
      <c r="A26" s="1" t="s">
        <v>8</v>
      </c>
      <c r="B26" s="1" t="s">
        <v>21</v>
      </c>
      <c r="C26" s="1" t="s">
        <v>45</v>
      </c>
      <c r="D26" s="1" t="s">
        <v>46</v>
      </c>
      <c r="E26" s="1" t="s">
        <v>47</v>
      </c>
      <c r="F26" s="1" t="s">
        <v>8</v>
      </c>
      <c r="G26" s="1" t="s">
        <v>74</v>
      </c>
    </row>
    <row r="27" spans="1:7" x14ac:dyDescent="0.25">
      <c r="A27" s="2" t="s">
        <v>67</v>
      </c>
      <c r="B27" s="2" t="s">
        <v>7</v>
      </c>
      <c r="C27" s="6">
        <v>4850000</v>
      </c>
      <c r="D27" s="6">
        <v>3671000</v>
      </c>
      <c r="E27" s="6" t="s">
        <v>13</v>
      </c>
      <c r="F27" s="2" t="s">
        <v>30</v>
      </c>
      <c r="G27" s="9"/>
    </row>
    <row r="28" spans="1:7" x14ac:dyDescent="0.25">
      <c r="A28" s="2" t="s">
        <v>68</v>
      </c>
      <c r="B28" s="2" t="s">
        <v>5</v>
      </c>
      <c r="C28" s="6" t="s">
        <v>13</v>
      </c>
      <c r="D28" s="6">
        <v>1179000</v>
      </c>
      <c r="E28" s="6" t="s">
        <v>13</v>
      </c>
      <c r="F28" s="2" t="s">
        <v>29</v>
      </c>
      <c r="G28" s="9"/>
    </row>
    <row r="29" spans="1:7" x14ac:dyDescent="0.25">
      <c r="A29" s="2" t="s">
        <v>69</v>
      </c>
      <c r="B29" s="2" t="s">
        <v>3</v>
      </c>
      <c r="C29" s="6" t="s">
        <v>13</v>
      </c>
      <c r="D29" s="6" t="s">
        <v>13</v>
      </c>
      <c r="E29" s="6">
        <v>5211000</v>
      </c>
      <c r="F29" s="2" t="s">
        <v>28</v>
      </c>
      <c r="G29" s="9"/>
    </row>
    <row r="30" spans="1:7" x14ac:dyDescent="0.25">
      <c r="A30" s="3" t="s">
        <v>31</v>
      </c>
      <c r="B30" s="8">
        <v>6</v>
      </c>
      <c r="C30" s="41" t="s">
        <v>32</v>
      </c>
      <c r="D30" s="42"/>
      <c r="E30" s="43"/>
      <c r="F30" s="3" t="s">
        <v>33</v>
      </c>
      <c r="G30" s="5" t="str">
        <f>IF(COUNTA($C$7:$D$9)&gt;1,"Není zvolený vozidlový koncept!",IF($C$7="X",B30*B31*30*C27*G27,IF($C$8="X",B30*B31*30*D27*G27+B30*B31*30*D28*G28,IF($C$9="X",B30*B31*30*E29*G29,"Není správně zvolený vozidlový koncept!"))))</f>
        <v>Není správně zvolený vozidlový koncept!</v>
      </c>
    </row>
    <row r="31" spans="1:7" x14ac:dyDescent="0.25">
      <c r="A31" s="3" t="s">
        <v>40</v>
      </c>
      <c r="B31" s="8">
        <v>1.1000000000000001</v>
      </c>
      <c r="C31" s="41" t="s">
        <v>41</v>
      </c>
      <c r="D31" s="42"/>
      <c r="E31" s="43"/>
      <c r="F31" s="5" t="s">
        <v>13</v>
      </c>
      <c r="G31" s="5" t="s">
        <v>13</v>
      </c>
    </row>
    <row r="33" spans="1:7" ht="16.5" customHeight="1" x14ac:dyDescent="0.25">
      <c r="A33" s="26" t="s">
        <v>42</v>
      </c>
      <c r="B33" s="27"/>
      <c r="C33" s="27"/>
      <c r="D33" s="27"/>
      <c r="E33" s="27"/>
      <c r="F33" s="27"/>
      <c r="G33" s="27"/>
    </row>
    <row r="34" spans="1:7" ht="89.25" x14ac:dyDescent="0.25">
      <c r="A34" s="1" t="s">
        <v>8</v>
      </c>
      <c r="B34" s="1" t="s">
        <v>21</v>
      </c>
      <c r="C34" s="1" t="s">
        <v>45</v>
      </c>
      <c r="D34" s="1" t="s">
        <v>46</v>
      </c>
      <c r="E34" s="1" t="s">
        <v>47</v>
      </c>
      <c r="F34" s="1" t="s">
        <v>8</v>
      </c>
      <c r="G34" s="1" t="s">
        <v>76</v>
      </c>
    </row>
    <row r="35" spans="1:7" x14ac:dyDescent="0.25">
      <c r="A35" s="2" t="s">
        <v>67</v>
      </c>
      <c r="B35" s="2" t="s">
        <v>7</v>
      </c>
      <c r="C35" s="6">
        <v>4850000</v>
      </c>
      <c r="D35" s="6">
        <v>3671000</v>
      </c>
      <c r="E35" s="6" t="s">
        <v>13</v>
      </c>
      <c r="F35" s="2" t="s">
        <v>35</v>
      </c>
      <c r="G35" s="9"/>
    </row>
    <row r="36" spans="1:7" x14ac:dyDescent="0.25">
      <c r="A36" s="2" t="s">
        <v>68</v>
      </c>
      <c r="B36" s="2" t="s">
        <v>5</v>
      </c>
      <c r="C36" s="6" t="s">
        <v>13</v>
      </c>
      <c r="D36" s="6">
        <v>1179000</v>
      </c>
      <c r="E36" s="6" t="s">
        <v>13</v>
      </c>
      <c r="F36" s="2" t="s">
        <v>36</v>
      </c>
      <c r="G36" s="9"/>
    </row>
    <row r="37" spans="1:7" x14ac:dyDescent="0.25">
      <c r="A37" s="2" t="s">
        <v>69</v>
      </c>
      <c r="B37" s="2" t="s">
        <v>3</v>
      </c>
      <c r="C37" s="6" t="s">
        <v>13</v>
      </c>
      <c r="D37" s="6" t="s">
        <v>13</v>
      </c>
      <c r="E37" s="6">
        <v>5211000</v>
      </c>
      <c r="F37" s="2" t="s">
        <v>37</v>
      </c>
      <c r="G37" s="9"/>
    </row>
    <row r="38" spans="1:7" ht="27.75" customHeight="1" x14ac:dyDescent="0.25">
      <c r="A38" s="3" t="s">
        <v>40</v>
      </c>
      <c r="B38" s="24">
        <v>7.5840000000000005E-2</v>
      </c>
      <c r="C38" s="41" t="s">
        <v>43</v>
      </c>
      <c r="D38" s="42"/>
      <c r="E38" s="43"/>
      <c r="F38" s="3" t="s">
        <v>38</v>
      </c>
      <c r="G38" s="5" t="str">
        <f>IF(COUNTA($C$7:$D$9)&gt;1,"Není zvolený vozidlový koncept!",IF($C$7="X",B38*30*C35*(G35+175*B39),IF($C$8="X",B38*30*D35*(G35+175*B39)+B38*30*D36*(G36+115*B39),IF($C$9="X",B38*30*E37*(G37+145*B39),"Není správně zvolený vozidlový koncept!"))))</f>
        <v>Není správně zvolený vozidlový koncept!</v>
      </c>
    </row>
    <row r="39" spans="1:7" x14ac:dyDescent="0.25">
      <c r="A39" s="3" t="s">
        <v>40</v>
      </c>
      <c r="B39" s="8">
        <v>0.08</v>
      </c>
      <c r="C39" s="41" t="s">
        <v>44</v>
      </c>
      <c r="D39" s="42"/>
      <c r="E39" s="43"/>
      <c r="F39" s="5" t="s">
        <v>13</v>
      </c>
      <c r="G39" s="5" t="s">
        <v>13</v>
      </c>
    </row>
    <row r="41" spans="1:7" ht="16.5" customHeight="1" x14ac:dyDescent="0.25">
      <c r="A41" s="52" t="s">
        <v>63</v>
      </c>
      <c r="B41" s="53"/>
      <c r="C41" s="53"/>
      <c r="D41" s="53"/>
      <c r="E41" s="53"/>
      <c r="F41" s="53"/>
      <c r="G41" s="53"/>
    </row>
    <row r="42" spans="1:7" ht="120" customHeight="1" x14ac:dyDescent="0.25">
      <c r="A42" s="1"/>
      <c r="B42" s="1" t="s">
        <v>21</v>
      </c>
      <c r="C42" s="48" t="s">
        <v>80</v>
      </c>
      <c r="D42" s="49"/>
      <c r="E42" s="50"/>
      <c r="F42" s="48" t="s">
        <v>77</v>
      </c>
      <c r="G42" s="49"/>
    </row>
    <row r="43" spans="1:7" x14ac:dyDescent="0.25">
      <c r="A43" s="58" t="s">
        <v>7</v>
      </c>
      <c r="B43" s="59"/>
      <c r="C43" s="51"/>
      <c r="D43" s="51"/>
      <c r="E43" s="51"/>
      <c r="F43" s="51"/>
      <c r="G43" s="51"/>
    </row>
    <row r="44" spans="1:7" x14ac:dyDescent="0.25">
      <c r="A44" s="60" t="s">
        <v>5</v>
      </c>
      <c r="B44" s="61"/>
      <c r="C44" s="51"/>
      <c r="D44" s="51"/>
      <c r="E44" s="51"/>
      <c r="F44" s="51"/>
      <c r="G44" s="51"/>
    </row>
    <row r="45" spans="1:7" x14ac:dyDescent="0.25">
      <c r="A45" s="60" t="s">
        <v>3</v>
      </c>
      <c r="B45" s="61"/>
      <c r="C45" s="51"/>
      <c r="D45" s="51"/>
      <c r="E45" s="51"/>
      <c r="F45" s="51"/>
      <c r="G45" s="51"/>
    </row>
    <row r="46" spans="1:7" ht="153" x14ac:dyDescent="0.25">
      <c r="A46" s="62" t="s">
        <v>21</v>
      </c>
      <c r="B46" s="63"/>
      <c r="C46" s="1" t="s">
        <v>6</v>
      </c>
      <c r="D46" s="1" t="s">
        <v>15</v>
      </c>
      <c r="E46" s="1" t="s">
        <v>16</v>
      </c>
      <c r="F46" s="1" t="s">
        <v>8</v>
      </c>
      <c r="G46" s="10" t="s">
        <v>79</v>
      </c>
    </row>
    <row r="47" spans="1:7" x14ac:dyDescent="0.25">
      <c r="A47" s="54" t="s">
        <v>7</v>
      </c>
      <c r="B47" s="55"/>
      <c r="C47" s="6">
        <v>42</v>
      </c>
      <c r="D47" s="6">
        <v>28</v>
      </c>
      <c r="E47" s="6" t="s">
        <v>13</v>
      </c>
      <c r="F47" s="11" t="s">
        <v>70</v>
      </c>
      <c r="G47" s="23">
        <f>IF(C7="X",C43*C47/(F43*C47),0)</f>
        <v>0</v>
      </c>
    </row>
    <row r="48" spans="1:7" x14ac:dyDescent="0.25">
      <c r="A48" s="54" t="s">
        <v>5</v>
      </c>
      <c r="B48" s="55"/>
      <c r="C48" s="6" t="s">
        <v>13</v>
      </c>
      <c r="D48" s="6">
        <v>14</v>
      </c>
      <c r="E48" s="6" t="s">
        <v>13</v>
      </c>
      <c r="F48" s="11" t="s">
        <v>71</v>
      </c>
      <c r="G48" s="23">
        <f>IF(C8="X",(C43*D47+D48*C44)/(D47*F43+F44*D48),0)</f>
        <v>0</v>
      </c>
    </row>
    <row r="49" spans="1:7" x14ac:dyDescent="0.25">
      <c r="A49" s="54" t="s">
        <v>3</v>
      </c>
      <c r="B49" s="55"/>
      <c r="C49" s="6" t="s">
        <v>13</v>
      </c>
      <c r="D49" s="6" t="s">
        <v>13</v>
      </c>
      <c r="E49" s="6">
        <v>48</v>
      </c>
      <c r="F49" s="11" t="s">
        <v>72</v>
      </c>
      <c r="G49" s="23">
        <f>IF(C9="X",C45*E49/(F45*E49),0)</f>
        <v>0</v>
      </c>
    </row>
    <row r="50" spans="1:7" ht="27.75" customHeight="1" x14ac:dyDescent="0.25">
      <c r="A50" s="56" t="s">
        <v>1</v>
      </c>
      <c r="B50" s="57"/>
      <c r="C50" s="6">
        <f>SUM(C47:C49)</f>
        <v>42</v>
      </c>
      <c r="D50" s="6">
        <f t="shared" ref="D50" si="1">SUM(D47:D49)</f>
        <v>42</v>
      </c>
      <c r="E50" s="6">
        <f t="shared" ref="E50" si="2">SUM(E47:E49)</f>
        <v>48</v>
      </c>
      <c r="F50" s="12" t="s">
        <v>73</v>
      </c>
      <c r="G50" s="22">
        <f>IF(COUNTA($C$7:$D$9)&gt;1,"Není zvolený vozidlový koncept!",ROUND(G47+G48+G49,4))</f>
        <v>0</v>
      </c>
    </row>
  </sheetData>
  <mergeCells count="42">
    <mergeCell ref="C45:E45"/>
    <mergeCell ref="F43:G43"/>
    <mergeCell ref="F44:G44"/>
    <mergeCell ref="F45:G45"/>
    <mergeCell ref="A46:B46"/>
    <mergeCell ref="A47:B47"/>
    <mergeCell ref="A48:B48"/>
    <mergeCell ref="A49:B49"/>
    <mergeCell ref="A50:B50"/>
    <mergeCell ref="A43:B43"/>
    <mergeCell ref="A44:B44"/>
    <mergeCell ref="A45:B45"/>
    <mergeCell ref="C42:E42"/>
    <mergeCell ref="F42:G42"/>
    <mergeCell ref="C43:E43"/>
    <mergeCell ref="C44:E44"/>
    <mergeCell ref="A41:G41"/>
    <mergeCell ref="C38:E38"/>
    <mergeCell ref="C31:E31"/>
    <mergeCell ref="C39:E39"/>
    <mergeCell ref="F6:G6"/>
    <mergeCell ref="F8:G8"/>
    <mergeCell ref="B24:G24"/>
    <mergeCell ref="A25:G25"/>
    <mergeCell ref="C30:E30"/>
    <mergeCell ref="A33:G33"/>
    <mergeCell ref="A9:B9"/>
    <mergeCell ref="A1:G1"/>
    <mergeCell ref="A11:G11"/>
    <mergeCell ref="A18:G18"/>
    <mergeCell ref="A5:D5"/>
    <mergeCell ref="B17:G17"/>
    <mergeCell ref="A6:B6"/>
    <mergeCell ref="B4:G4"/>
    <mergeCell ref="B2:G2"/>
    <mergeCell ref="A3:G3"/>
    <mergeCell ref="C6:D6"/>
    <mergeCell ref="C7:D7"/>
    <mergeCell ref="C8:D8"/>
    <mergeCell ref="C9:D9"/>
    <mergeCell ref="A7:B7"/>
    <mergeCell ref="A8:B8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5172-D935-42BF-B43E-010E8E41C700}">
  <sheetPr>
    <pageSetUpPr fitToPage="1"/>
  </sheetPr>
  <dimension ref="A1:F14"/>
  <sheetViews>
    <sheetView zoomScaleNormal="100" workbookViewId="0">
      <selection activeCell="F15" sqref="F15"/>
    </sheetView>
  </sheetViews>
  <sheetFormatPr defaultRowHeight="15" x14ac:dyDescent="0.25"/>
  <cols>
    <col min="1" max="1" width="7" bestFit="1" customWidth="1"/>
    <col min="2" max="2" width="42.42578125" customWidth="1"/>
    <col min="3" max="3" width="34" bestFit="1" customWidth="1"/>
    <col min="4" max="4" width="6.85546875" customWidth="1"/>
    <col min="5" max="5" width="7" bestFit="1" customWidth="1"/>
    <col min="6" max="6" width="44.7109375" customWidth="1"/>
  </cols>
  <sheetData>
    <row r="1" spans="1:6" x14ac:dyDescent="0.25">
      <c r="A1" s="25" t="s">
        <v>2</v>
      </c>
      <c r="B1" s="25"/>
      <c r="C1" s="25"/>
      <c r="D1" s="25"/>
      <c r="E1" s="25"/>
      <c r="F1" s="25"/>
    </row>
    <row r="2" spans="1:6" x14ac:dyDescent="0.25">
      <c r="B2" s="34"/>
      <c r="C2" s="34"/>
      <c r="D2" s="34"/>
      <c r="E2" s="34"/>
      <c r="F2" s="34"/>
    </row>
    <row r="3" spans="1:6" x14ac:dyDescent="0.25">
      <c r="A3" s="68" t="s">
        <v>52</v>
      </c>
      <c r="B3" s="69"/>
      <c r="C3" s="69"/>
      <c r="D3" s="69"/>
      <c r="E3" s="69"/>
      <c r="F3" s="69"/>
    </row>
    <row r="5" spans="1:6" x14ac:dyDescent="0.25">
      <c r="A5" s="15" t="s">
        <v>62</v>
      </c>
      <c r="B5" s="15"/>
      <c r="C5" s="15"/>
      <c r="D5" s="15"/>
      <c r="E5" s="15"/>
      <c r="F5" s="15"/>
    </row>
    <row r="7" spans="1:6" ht="30" customHeight="1" x14ac:dyDescent="0.25">
      <c r="A7" s="45" t="s">
        <v>53</v>
      </c>
      <c r="B7" s="45"/>
      <c r="C7" s="16" t="s">
        <v>58</v>
      </c>
      <c r="E7" s="71" t="s">
        <v>57</v>
      </c>
      <c r="F7" s="71"/>
    </row>
    <row r="8" spans="1:6" x14ac:dyDescent="0.25">
      <c r="A8" s="3" t="s">
        <v>48</v>
      </c>
      <c r="B8" s="5" t="e">
        <f>'Výpočet H, K'!G9</f>
        <v>#VALUE!</v>
      </c>
      <c r="C8" s="17" t="e">
        <f>95*F8/B8</f>
        <v>#VALUE!</v>
      </c>
      <c r="E8" s="3" t="s">
        <v>54</v>
      </c>
      <c r="F8" s="21">
        <v>15000000000</v>
      </c>
    </row>
    <row r="10" spans="1:6" ht="33" customHeight="1" x14ac:dyDescent="0.25">
      <c r="A10" s="70" t="s">
        <v>51</v>
      </c>
      <c r="B10" s="70"/>
      <c r="C10" s="19" t="s">
        <v>61</v>
      </c>
      <c r="E10" s="72" t="s">
        <v>56</v>
      </c>
      <c r="F10" s="73"/>
    </row>
    <row r="11" spans="1:6" x14ac:dyDescent="0.25">
      <c r="A11" s="12" t="s">
        <v>50</v>
      </c>
      <c r="B11" s="13">
        <f>'Výpočet H, K'!G50</f>
        <v>0</v>
      </c>
      <c r="C11" s="17">
        <f>5*B11/F11</f>
        <v>0</v>
      </c>
      <c r="E11" s="12" t="s">
        <v>55</v>
      </c>
      <c r="F11" s="20">
        <v>1260</v>
      </c>
    </row>
    <row r="12" spans="1:6" x14ac:dyDescent="0.25">
      <c r="B12" s="14"/>
    </row>
    <row r="13" spans="1:6" x14ac:dyDescent="0.25">
      <c r="A13" s="64" t="s">
        <v>59</v>
      </c>
      <c r="B13" s="65"/>
      <c r="C13" s="18" t="s">
        <v>60</v>
      </c>
    </row>
    <row r="14" spans="1:6" x14ac:dyDescent="0.25">
      <c r="A14" s="66"/>
      <c r="B14" s="67"/>
      <c r="C14" s="17" t="e">
        <f>C8+C11</f>
        <v>#VALUE!</v>
      </c>
    </row>
  </sheetData>
  <mergeCells count="8">
    <mergeCell ref="A1:F1"/>
    <mergeCell ref="B2:F2"/>
    <mergeCell ref="A13:B14"/>
    <mergeCell ref="A3:F3"/>
    <mergeCell ref="A10:B10"/>
    <mergeCell ref="E7:F7"/>
    <mergeCell ref="E10:F10"/>
    <mergeCell ref="A7:B7"/>
  </mergeCells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Výpočet H, K</vt:lpstr>
      <vt:lpstr>Bodové srovnání nabídek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Dominik Mazel</cp:lastModifiedBy>
  <cp:lastPrinted>2020-03-18T13:04:39Z</cp:lastPrinted>
  <dcterms:created xsi:type="dcterms:W3CDTF">2013-02-22T09:41:25Z</dcterms:created>
  <dcterms:modified xsi:type="dcterms:W3CDTF">2024-09-20T12:27:15Z</dcterms:modified>
</cp:coreProperties>
</file>